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47"/>
  </bookViews>
  <sheets>
    <sheet name="Giriş" sheetId="2" r:id="rId1"/>
    <sheet name="BASİT FAİZ" sheetId="1" r:id="rId2"/>
    <sheet name="BASİT İSKONTO" sheetId="3" r:id="rId3"/>
    <sheet name="BİLEŞİK FAİZ" sheetId="4" r:id="rId4"/>
    <sheet name="BİLEŞİK İSKONTO" sheetId="5" r:id="rId5"/>
    <sheet name="BD GD NBD İVO" sheetId="6" r:id="rId6"/>
    <sheet name="ANÜİTE" sheetId="7" r:id="rId7"/>
  </sheets>
  <definedNames>
    <definedName name="solver_eng" localSheetId="0" hidden="1">1</definedName>
    <definedName name="solver_neg" localSheetId="0" hidden="1">1</definedName>
    <definedName name="solver_num" localSheetId="0" hidden="1">0</definedName>
    <definedName name="solver_opt" localSheetId="0" hidden="1">Giriş!$A$9</definedName>
    <definedName name="solver_typ" localSheetId="0" hidden="1">1</definedName>
    <definedName name="solver_val" localSheetId="0" hidden="1">0</definedName>
    <definedName name="solver_ver" localSheetId="0" hidden="1">3</definedName>
  </definedNames>
  <calcPr calcId="152511" iterate="1"/>
</workbook>
</file>

<file path=xl/calcChain.xml><?xml version="1.0" encoding="utf-8"?>
<calcChain xmlns="http://schemas.openxmlformats.org/spreadsheetml/2006/main">
  <c r="I8" i="2" l="1"/>
  <c r="D8" i="2"/>
  <c r="M6" i="7"/>
  <c r="L6" i="7"/>
  <c r="K6" i="7"/>
  <c r="H5" i="6"/>
  <c r="C6" i="6"/>
  <c r="I9" i="2" l="1"/>
  <c r="I6" i="2"/>
  <c r="I7" i="2"/>
  <c r="D3" i="2"/>
  <c r="F16" i="1" l="1"/>
  <c r="D6" i="7" l="1"/>
  <c r="K7" i="7" s="1"/>
  <c r="C7" i="6"/>
  <c r="H6" i="6"/>
  <c r="E13" i="5"/>
  <c r="H28" i="4"/>
  <c r="H20" i="4"/>
  <c r="H21" i="4"/>
  <c r="H22" i="4"/>
  <c r="H23" i="4"/>
  <c r="H24" i="4"/>
  <c r="H25" i="4"/>
  <c r="H26" i="4"/>
  <c r="H27" i="4"/>
  <c r="H19" i="4"/>
  <c r="C19" i="4"/>
  <c r="C8" i="4"/>
  <c r="D8" i="4" s="1"/>
  <c r="F17" i="3"/>
  <c r="A15" i="3"/>
  <c r="E15" i="3" s="1"/>
  <c r="F15" i="3" s="1"/>
  <c r="A6" i="3"/>
  <c r="E6" i="3" s="1"/>
  <c r="D7" i="2"/>
  <c r="D6" i="2"/>
  <c r="D5" i="2"/>
  <c r="D4" i="2"/>
  <c r="F19" i="1"/>
  <c r="G19" i="1"/>
  <c r="G16" i="1"/>
  <c r="B17" i="1"/>
  <c r="D5" i="1"/>
  <c r="C7" i="1"/>
  <c r="D9" i="1" s="1"/>
  <c r="E5" i="1"/>
  <c r="F5" i="1"/>
  <c r="C5" i="1"/>
  <c r="K20" i="4" l="1"/>
  <c r="K9" i="7"/>
  <c r="K8" i="7"/>
  <c r="C9" i="4"/>
  <c r="C10" i="4" s="1"/>
  <c r="C11" i="4" s="1"/>
  <c r="C12" i="4" s="1"/>
  <c r="J7" i="7"/>
  <c r="L7" i="7" s="1"/>
  <c r="M7" i="7" s="1"/>
  <c r="J8" i="7" s="1"/>
  <c r="L8" i="7" s="1"/>
  <c r="E9" i="1"/>
  <c r="C9" i="1"/>
  <c r="F9" i="1"/>
  <c r="M8" i="7" l="1"/>
  <c r="J9" i="7" s="1"/>
  <c r="L9" i="7" s="1"/>
  <c r="M9" i="7" s="1"/>
  <c r="C13" i="4"/>
  <c r="E8" i="4"/>
  <c r="B9" i="4" s="1"/>
  <c r="D9" i="4" l="1"/>
  <c r="E9" i="4" l="1"/>
  <c r="B10" i="4" s="1"/>
  <c r="D10" i="4" l="1"/>
  <c r="E10" i="4"/>
  <c r="B11" i="4" s="1"/>
  <c r="D11" i="4" l="1"/>
  <c r="E11" i="4" s="1"/>
  <c r="B12" i="4" s="1"/>
  <c r="D12" i="4" l="1"/>
  <c r="C14" i="4" s="1"/>
  <c r="C16" i="4" s="1"/>
  <c r="E12" i="4" l="1"/>
</calcChain>
</file>

<file path=xl/sharedStrings.xml><?xml version="1.0" encoding="utf-8"?>
<sst xmlns="http://schemas.openxmlformats.org/spreadsheetml/2006/main" count="96" uniqueCount="78">
  <si>
    <t>Zaman</t>
  </si>
  <si>
    <t>Faiz</t>
  </si>
  <si>
    <t>Devresel ödeme</t>
  </si>
  <si>
    <t>Yıllık %15 faiz getirisine sahip 10.000 TL'lik hesabın basit faiz ile 4 yıl boyunca yıllar itibariyle değerleri nelerdir?</t>
  </si>
  <si>
    <t>500.000 TL anapara yıllık %25 basit faiz ile 16 günlüğüne değerlendirildiğinde faiz tutarı ne olur?</t>
  </si>
  <si>
    <t>Vade Sonu Değeri= Anapara (BD) + Basit Faiz Tutarı (I)                                    [Basit Faiz Tutarı(I) = BD(faiz oranı x süre)]                                                                          Vade Sonu Değeri = BD + BDrt                                                                               Vade Sonu Değeri = BD (1 + rt)                                                                               r:faiz oranı    t:süre      BD:Bugünkü Değer</t>
  </si>
  <si>
    <t>Formül ile</t>
  </si>
  <si>
    <t>360 gün</t>
  </si>
  <si>
    <t>365 gün</t>
  </si>
  <si>
    <t>Anapara</t>
  </si>
  <si>
    <t>Gün</t>
  </si>
  <si>
    <t>Ayın hangi günü olduğu</t>
  </si>
  <si>
    <t>Yılın hangi ayda olduğu</t>
  </si>
  <si>
    <t>Yıl</t>
  </si>
  <si>
    <t>İki tarih arası kaç gün</t>
  </si>
  <si>
    <t>Yılın kaçıncı haftası</t>
  </si>
  <si>
    <t>İki tarih arası işgünü</t>
  </si>
  <si>
    <t>A işletmesi vadesine 6 ay kalmış 1.800.000 lira vade değerli senedi bir bankaya iç iskonto yöntemiyle kırdırmak istemektedir. Banka %12 iskonto oranı uygulamaktadır. Senedin peşin değeri nedir?</t>
  </si>
  <si>
    <t>Yıllık Faiz</t>
  </si>
  <si>
    <t>Vade</t>
  </si>
  <si>
    <t>Vade Sonu Değer</t>
  </si>
  <si>
    <t>İskonto Oranı</t>
  </si>
  <si>
    <t>İç İskonto:       Vade Sonu Değer= BD x Basit İskonto Tutarı                                               Basit İskonto Tutarı (D) = Bugunkü Değer x (1+ İskonto oranı x Süre)</t>
  </si>
  <si>
    <t>Vadesine 9 ay olan 5.000.000 TL nominal değerli bir senet %22 iskonto oranı ile dış iskonto yöntemine göre kırdırılırsa basit iskonto tutarı ve peşin değer ne olur?</t>
  </si>
  <si>
    <t>Basit İskonto Tutarı</t>
  </si>
  <si>
    <t>Peşin Değer</t>
  </si>
  <si>
    <t xml:space="preserve">Dış İskonto:       Vade Sonu Değer= BD + Basit İskonto Tutarı   (D)              Basit İskonto Tutarı (D) = Vade Sonu Değeri x İskonto oranı x Süre                                        </t>
  </si>
  <si>
    <t>Faize Faiz</t>
  </si>
  <si>
    <t>Toplam</t>
  </si>
  <si>
    <t>Faiz Toplamı</t>
  </si>
  <si>
    <t>100.000 TL sermayenin %15 bileşik faizle oluşan 5 yıllıkfaiz toplamı, faize faiz kazancı ve anapara +faiz miktarını hesaplayınız</t>
  </si>
  <si>
    <t>Anapara+Faiz</t>
  </si>
  <si>
    <t>Her bir yıl için formülün çalıştırabilmesi için 5 kere 0,15 yazılır</t>
  </si>
  <si>
    <t>Eğer 6 aylık olsaydı 0,15 olan faizi ikiye bölerek (r/n)  5 yılda 10 adet 6 aylık dönem olduğu için 10 kere yazılır</t>
  </si>
  <si>
    <r>
      <t>Anapara + Bileşik Faiz (Vade Sonu Değer)= Bugun Değer (1+ r/n)</t>
    </r>
    <r>
      <rPr>
        <vertAlign val="superscript"/>
        <sz val="11"/>
        <color theme="1"/>
        <rFont val="Calibri"/>
        <family val="2"/>
        <charset val="162"/>
        <scheme val="minor"/>
      </rPr>
      <t>mn</t>
    </r>
    <r>
      <rPr>
        <sz val="11"/>
        <color theme="1"/>
        <rFont val="Calibri"/>
        <family val="2"/>
        <charset val="162"/>
        <scheme val="minor"/>
      </rPr>
      <t xml:space="preserve">                                                       m:yıl sayısı          n:bir yıldaki bileşik dönem sayısı         r:yıllık faiz oranı     yıllık bileşik:   n=1               3 aylık bileşik:    n=4              6 aylık bileşik:    n=2       aylık bileşik:    n=12            günlük bileşik:    n=365</t>
    </r>
  </si>
  <si>
    <r>
      <t>Dış İskonto:          BD =  (Vade Sonu Değer) [2 - (1+ iskonto oranı)</t>
    </r>
    <r>
      <rPr>
        <vertAlign val="superscript"/>
        <sz val="11"/>
        <color theme="1"/>
        <rFont val="Calibri"/>
        <family val="2"/>
        <charset val="162"/>
        <scheme val="minor"/>
      </rPr>
      <t>mn</t>
    </r>
    <r>
      <rPr>
        <sz val="11"/>
        <color theme="1"/>
        <rFont val="Calibri"/>
        <family val="2"/>
        <charset val="162"/>
        <scheme val="minor"/>
      </rPr>
      <t xml:space="preserve"> ]                                                   İskonto Tutarı=Vade Sonu Değer-Peşin Değer (BD)                                          (1+ iskonto oranı)</t>
    </r>
    <r>
      <rPr>
        <vertAlign val="superscript"/>
        <sz val="11"/>
        <color theme="1"/>
        <rFont val="Calibri"/>
        <family val="2"/>
        <charset val="162"/>
        <scheme val="minor"/>
      </rPr>
      <t xml:space="preserve">mn </t>
    </r>
    <r>
      <rPr>
        <sz val="11"/>
        <color theme="1"/>
        <rFont val="Calibri"/>
        <family val="2"/>
        <charset val="162"/>
        <scheme val="minor"/>
      </rPr>
      <t xml:space="preserve">   eğer 2'den büyükse BD negatif olur. Bu iskonto eden tarafın, senedi iskonto ettiren tarafa senedin üzerinde bir miktar para ödemesi demektir ki ticari hayatta olanaklı değildir. Bu yüzden bileşik faiz de dış iskonto genellikle kullanılmamaktadır.</t>
    </r>
  </si>
  <si>
    <r>
      <t>İç iskonto:                                                                                                                                                              Anapara + Bileşik Faiz (Vade Sonu Değer)= BD (1+ iskonto oranı)</t>
    </r>
    <r>
      <rPr>
        <vertAlign val="superscript"/>
        <sz val="11"/>
        <color theme="1"/>
        <rFont val="Calibri"/>
        <family val="2"/>
        <charset val="162"/>
        <scheme val="minor"/>
      </rPr>
      <t>mn</t>
    </r>
    <r>
      <rPr>
        <sz val="11"/>
        <color theme="1"/>
        <rFont val="Calibri"/>
        <family val="2"/>
        <charset val="162"/>
        <scheme val="minor"/>
      </rPr>
      <t xml:space="preserve">                                                       İskonto Tutarı=Vade Sonu Değer-Peşin Değer (BD)                                                                                  İskonto Tutarı(d)= BD [ (1+ iskonto oranı)</t>
    </r>
    <r>
      <rPr>
        <vertAlign val="superscript"/>
        <sz val="11"/>
        <color theme="1"/>
        <rFont val="Calibri"/>
        <family val="2"/>
        <charset val="162"/>
        <scheme val="minor"/>
      </rPr>
      <t xml:space="preserve">mn </t>
    </r>
    <r>
      <rPr>
        <sz val="11"/>
        <color theme="1"/>
        <rFont val="Calibri"/>
        <family val="2"/>
        <charset val="162"/>
        <scheme val="minor"/>
      </rPr>
      <t xml:space="preserve">  - 1 ]</t>
    </r>
  </si>
  <si>
    <t>Vadesi 3 yıl olan bir senet için 10000 TL iskonto tutarı hesaplanmış  ve peşin değer 20000 TL'dir. 6 aylık faizlendirme yapılırsa iskonto oranı ne olur?</t>
  </si>
  <si>
    <t>d</t>
  </si>
  <si>
    <t>BD</t>
  </si>
  <si>
    <t>n</t>
  </si>
  <si>
    <t>m</t>
  </si>
  <si>
    <t>İskonto oranını formülden çekmek zordur. Bu yüzden aşağıdaki işlemler yapılır. Öncelikle aşağıdaki tablo oluşturulur.A10 hücresine sıfır haricinde sade herhangi bi sayı girilir. Örneğin 0,1 gibi. Diğer yazıldıktan girildikten sonra Dosya/Seçenekler/Formüller  sekmesinde Yinemeli hesaplamayı etkinleştir işaretlenir. İşaretli ise bir şey yapılmaz.  Daha E13 hücresi tıklanır(hesaplanan hücre)  Veri/Durum Çözümlemesi/Hedef Ara çalıştırılır</t>
  </si>
  <si>
    <t>iskonto tutarı</t>
  </si>
  <si>
    <t>Oran</t>
  </si>
  <si>
    <t>Dönem</t>
  </si>
  <si>
    <t>Ödeme</t>
  </si>
  <si>
    <t>İç Verim Oranı</t>
  </si>
  <si>
    <t>Yıllar</t>
  </si>
  <si>
    <t>Nakit Akışı</t>
  </si>
  <si>
    <t>Net Bugünkü Değer</t>
  </si>
  <si>
    <t>iskonto</t>
  </si>
  <si>
    <t>ivo&gt;iskonto ise yatırım kabul</t>
  </si>
  <si>
    <t>GD</t>
  </si>
  <si>
    <t>B işletmesi 1.000.000 TL borcunu %8 yıllık faiz ile 4 eşit taksitte ödemek istiyor. Anapara ve faiz ödemelerinin tablosunu oluşturunuz.</t>
  </si>
  <si>
    <t>ABD</t>
  </si>
  <si>
    <t>i</t>
  </si>
  <si>
    <t>t</t>
  </si>
  <si>
    <t>Anüite</t>
  </si>
  <si>
    <t>Her yıl başındaki borç</t>
  </si>
  <si>
    <t>Anapara Ödemesi</t>
  </si>
  <si>
    <t>Fonksiyonlar eşittir kullanılarak çalıştırılır</t>
  </si>
  <si>
    <t>Değişken sabitlemek için bir kere F4 tuşuna basmak yeterlidir</t>
  </si>
  <si>
    <t>Fonksiyonların detaylı bilgisi fx tıklanarak öğrenilebilir</t>
  </si>
  <si>
    <t>ÖNEMLİ</t>
  </si>
  <si>
    <t>TARİHSEL FONKSİYONLAR</t>
  </si>
  <si>
    <t>EĞER FONKSİYONU</t>
  </si>
  <si>
    <t>Aşağıdaki örnekte olduğu gibi belirli büyüklüğün üzerinde veya altında olanları ayırmak için eğer fonksiyonu kullanılır.</t>
  </si>
  <si>
    <t>Star  A.Ş.</t>
  </si>
  <si>
    <t>Şirket Adı</t>
  </si>
  <si>
    <t>Aktif Büyüklüğü</t>
  </si>
  <si>
    <t>Büyük LTD.</t>
  </si>
  <si>
    <t>Saray A.Ş.</t>
  </si>
  <si>
    <t>Beyaz A.Ş.</t>
  </si>
  <si>
    <t>Formüller Sekmesinden de formüllere ulaşılabilir</t>
  </si>
  <si>
    <t>Fonksiyonlar çift tıklanarak eşittir sonrasına yerleştirilir</t>
  </si>
  <si>
    <t>İşlem yapılmış hücrelere çift tıklanarak girilir ve hücre içi değişiklik yapılsın yapılmasın enter veya tab tuşu ile çıkılır</t>
  </si>
  <si>
    <t>Aktif büyüklüğü 500000 ve 500000den büyük olan veya 500000 den küçük olan şirketler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</si>
</sst>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3" x14ac:knownFonts="1">
    <font>
      <sz val="11"/>
      <color theme="1"/>
      <name val="Calibri"/>
      <family val="2"/>
      <scheme val="minor"/>
    </font>
    <font>
      <sz val="11"/>
      <color theme="1"/>
      <name val="Calibri"/>
      <family val="2"/>
      <charset val="162"/>
      <scheme val="minor"/>
    </font>
    <font>
      <vertAlign val="superscript"/>
      <sz val="11"/>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3" fontId="0" fillId="0" borderId="0" xfId="0" applyNumberFormat="1"/>
    <xf numFmtId="8" fontId="0" fillId="0" borderId="0" xfId="0" applyNumberFormat="1"/>
    <xf numFmtId="0" fontId="0" fillId="0" borderId="0" xfId="0" applyNumberFormat="1"/>
    <xf numFmtId="2" fontId="0" fillId="0" borderId="0" xfId="0" applyNumberFormat="1"/>
    <xf numFmtId="14" fontId="0" fillId="0" borderId="0" xfId="0" applyNumberFormat="1"/>
    <xf numFmtId="0" fontId="0" fillId="0" borderId="0" xfId="0" applyAlignment="1">
      <alignment vertical="top" wrapText="1"/>
    </xf>
    <xf numFmtId="1" fontId="0" fillId="0" borderId="0" xfId="0" applyNumberFormat="1"/>
    <xf numFmtId="9" fontId="0" fillId="0" borderId="0" xfId="0" applyNumberFormat="1"/>
    <xf numFmtId="0" fontId="0" fillId="0" borderId="0" xfId="0" applyAlignment="1">
      <alignment horizontal="left" wrapText="1"/>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left" vertical="top" wrapText="1"/>
    </xf>
    <xf numFmtId="0" fontId="0" fillId="2" borderId="0" xfId="0" applyFill="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workbookViewId="0">
      <selection activeCell="G18" sqref="G18"/>
    </sheetView>
  </sheetViews>
  <sheetFormatPr defaultRowHeight="15" x14ac:dyDescent="0.25"/>
  <cols>
    <col min="1" max="1" width="38.5703125" customWidth="1"/>
    <col min="3" max="3" width="22" bestFit="1" customWidth="1"/>
    <col min="5" max="5" width="10.140625" bestFit="1" customWidth="1"/>
    <col min="7" max="7" width="13.5703125" customWidth="1"/>
    <col min="8" max="8" width="18.140625" customWidth="1"/>
    <col min="9" max="9" width="32.140625" customWidth="1"/>
  </cols>
  <sheetData>
    <row r="1" spans="1:11" x14ac:dyDescent="0.25">
      <c r="A1" s="15" t="s">
        <v>64</v>
      </c>
      <c r="C1" s="15" t="s">
        <v>65</v>
      </c>
      <c r="D1" s="15"/>
      <c r="E1" s="15"/>
      <c r="G1" s="15" t="s">
        <v>66</v>
      </c>
      <c r="H1" s="15"/>
      <c r="I1" s="15"/>
    </row>
    <row r="2" spans="1:11" ht="15" customHeight="1" x14ac:dyDescent="0.25">
      <c r="A2" s="15"/>
      <c r="D2" s="6">
        <v>38254</v>
      </c>
      <c r="E2" s="6">
        <v>38321</v>
      </c>
      <c r="G2" s="14" t="s">
        <v>67</v>
      </c>
      <c r="H2" s="14"/>
      <c r="I2" s="14"/>
      <c r="J2" s="14"/>
      <c r="K2" s="14"/>
    </row>
    <row r="3" spans="1:11" ht="15.75" customHeight="1" x14ac:dyDescent="0.25">
      <c r="A3" t="s">
        <v>61</v>
      </c>
      <c r="C3" t="s">
        <v>11</v>
      </c>
      <c r="D3">
        <f>DAY(D2)</f>
        <v>24</v>
      </c>
      <c r="G3" s="14"/>
      <c r="H3" s="14"/>
      <c r="I3" s="14"/>
      <c r="J3" s="14"/>
      <c r="K3" s="14"/>
    </row>
    <row r="4" spans="1:11" ht="15" customHeight="1" x14ac:dyDescent="0.25">
      <c r="A4" s="14" t="s">
        <v>62</v>
      </c>
      <c r="C4" t="s">
        <v>12</v>
      </c>
      <c r="D4">
        <f>MONTH(D2)</f>
        <v>9</v>
      </c>
      <c r="G4" s="14"/>
      <c r="H4" s="14"/>
      <c r="I4" s="14"/>
      <c r="J4" s="14"/>
      <c r="K4" s="14"/>
    </row>
    <row r="5" spans="1:11" ht="30" customHeight="1" x14ac:dyDescent="0.25">
      <c r="A5" s="14"/>
      <c r="C5" t="s">
        <v>13</v>
      </c>
      <c r="D5">
        <f>YEAR(D2)</f>
        <v>2004</v>
      </c>
      <c r="G5" t="s">
        <v>69</v>
      </c>
      <c r="H5" t="s">
        <v>70</v>
      </c>
      <c r="I5" s="14" t="s">
        <v>77</v>
      </c>
      <c r="J5" s="14"/>
    </row>
    <row r="6" spans="1:11" ht="15" customHeight="1" x14ac:dyDescent="0.25">
      <c r="A6" s="14" t="s">
        <v>63</v>
      </c>
      <c r="C6" t="s">
        <v>14</v>
      </c>
      <c r="D6">
        <f>DAYS360(D2,E2)</f>
        <v>66</v>
      </c>
      <c r="G6" t="s">
        <v>68</v>
      </c>
      <c r="H6">
        <v>1000000</v>
      </c>
      <c r="I6" t="str">
        <f>IF(H6&gt;=500000,"Büyük","Küçük")</f>
        <v>Büyük</v>
      </c>
    </row>
    <row r="7" spans="1:11" x14ac:dyDescent="0.25">
      <c r="A7" s="14"/>
      <c r="C7" t="s">
        <v>15</v>
      </c>
      <c r="D7">
        <f>WEEKNUM(D2)</f>
        <v>39</v>
      </c>
      <c r="G7" t="s">
        <v>71</v>
      </c>
      <c r="H7">
        <v>300000</v>
      </c>
      <c r="I7" t="str">
        <f>IF(H7&gt;=500000,"Büyük","Küçük")</f>
        <v>Küçük</v>
      </c>
    </row>
    <row r="8" spans="1:11" ht="15" customHeight="1" x14ac:dyDescent="0.25">
      <c r="A8" s="14" t="s">
        <v>75</v>
      </c>
      <c r="C8" t="s">
        <v>16</v>
      </c>
      <c r="D8">
        <f>NETWORKDAYS(D2,E2)</f>
        <v>48</v>
      </c>
      <c r="G8" t="s">
        <v>72</v>
      </c>
      <c r="H8">
        <v>7500000</v>
      </c>
      <c r="I8" t="str">
        <f>IF(H8&gt;=500000,"Büyük","Küçük")</f>
        <v>Büyük</v>
      </c>
    </row>
    <row r="9" spans="1:11" x14ac:dyDescent="0.25">
      <c r="A9" s="14"/>
      <c r="G9" t="s">
        <v>73</v>
      </c>
      <c r="H9" s="2">
        <v>400000</v>
      </c>
      <c r="I9" t="str">
        <f>IF(H9&gt;=500000,"Büyük","Küçük")</f>
        <v>Küçük</v>
      </c>
    </row>
    <row r="10" spans="1:11" x14ac:dyDescent="0.25">
      <c r="A10" s="14" t="s">
        <v>74</v>
      </c>
    </row>
    <row r="11" spans="1:11" x14ac:dyDescent="0.25">
      <c r="A11" s="14"/>
    </row>
    <row r="12" spans="1:11" ht="15" customHeight="1" x14ac:dyDescent="0.25">
      <c r="A12" s="14" t="s">
        <v>76</v>
      </c>
    </row>
    <row r="13" spans="1:11" x14ac:dyDescent="0.25">
      <c r="A13" s="14"/>
    </row>
    <row r="14" spans="1:11" x14ac:dyDescent="0.25">
      <c r="A14" s="14"/>
    </row>
  </sheetData>
  <mergeCells count="10">
    <mergeCell ref="G2:K4"/>
    <mergeCell ref="I5:J5"/>
    <mergeCell ref="A10:A11"/>
    <mergeCell ref="A1:A2"/>
    <mergeCell ref="A8:A9"/>
    <mergeCell ref="A12:A14"/>
    <mergeCell ref="A4:A5"/>
    <mergeCell ref="A6:A7"/>
    <mergeCell ref="C1:E1"/>
    <mergeCell ref="G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J15" sqref="J15"/>
    </sheetView>
  </sheetViews>
  <sheetFormatPr defaultRowHeight="15" x14ac:dyDescent="0.25"/>
  <cols>
    <col min="2" max="2" width="15.7109375" bestFit="1" customWidth="1"/>
    <col min="3" max="3" width="11.42578125" bestFit="1" customWidth="1"/>
    <col min="4" max="4" width="10.7109375" bestFit="1" customWidth="1"/>
    <col min="5" max="6" width="11.42578125" bestFit="1" customWidth="1"/>
  </cols>
  <sheetData>
    <row r="1" spans="1:16" ht="15" customHeight="1" x14ac:dyDescent="0.25">
      <c r="A1" s="10" t="s">
        <v>3</v>
      </c>
      <c r="B1" s="10"/>
      <c r="C1" s="10"/>
      <c r="D1" s="10"/>
      <c r="E1" s="10"/>
      <c r="F1" s="10"/>
      <c r="G1" s="10"/>
      <c r="H1" s="10"/>
      <c r="J1" s="12" t="s">
        <v>5</v>
      </c>
      <c r="K1" s="12"/>
      <c r="L1" s="12"/>
      <c r="M1" s="12"/>
      <c r="N1" s="12"/>
      <c r="O1" s="12"/>
      <c r="P1" s="12"/>
    </row>
    <row r="2" spans="1:16" x14ac:dyDescent="0.25">
      <c r="A2" s="10"/>
      <c r="B2" s="10"/>
      <c r="C2" s="10"/>
      <c r="D2" s="10"/>
      <c r="E2" s="10"/>
      <c r="F2" s="10"/>
      <c r="G2" s="10"/>
      <c r="H2" s="10"/>
      <c r="J2" s="12"/>
      <c r="K2" s="12"/>
      <c r="L2" s="12"/>
      <c r="M2" s="12"/>
      <c r="N2" s="12"/>
      <c r="O2" s="12"/>
      <c r="P2" s="12"/>
    </row>
    <row r="3" spans="1:16" x14ac:dyDescent="0.25">
      <c r="A3" t="s">
        <v>1</v>
      </c>
      <c r="B3">
        <v>0.15</v>
      </c>
      <c r="J3" s="12"/>
      <c r="K3" s="12"/>
      <c r="L3" s="12"/>
      <c r="M3" s="12"/>
      <c r="N3" s="12"/>
      <c r="O3" s="12"/>
      <c r="P3" s="12"/>
    </row>
    <row r="4" spans="1:16" x14ac:dyDescent="0.25">
      <c r="A4" t="s">
        <v>0</v>
      </c>
      <c r="B4">
        <v>0</v>
      </c>
      <c r="C4">
        <v>1</v>
      </c>
      <c r="D4">
        <v>2</v>
      </c>
      <c r="E4">
        <v>3</v>
      </c>
      <c r="F4">
        <v>4</v>
      </c>
      <c r="J4" s="12"/>
      <c r="K4" s="12"/>
      <c r="L4" s="12"/>
      <c r="M4" s="12"/>
      <c r="N4" s="12"/>
      <c r="O4" s="12"/>
      <c r="P4" s="12"/>
    </row>
    <row r="5" spans="1:16" x14ac:dyDescent="0.25">
      <c r="B5" s="2">
        <v>10000</v>
      </c>
      <c r="C5" s="4">
        <f>$B$5*(1+C4*$B$3)</f>
        <v>11500</v>
      </c>
      <c r="D5" s="4">
        <f>$B$5*(1+D4*$B$3)</f>
        <v>13000</v>
      </c>
      <c r="E5" s="4">
        <f t="shared" ref="E5:F5" si="0">$B$5*(1+E4*$B$3)</f>
        <v>14500</v>
      </c>
      <c r="F5" s="4">
        <f t="shared" si="0"/>
        <v>16000</v>
      </c>
      <c r="G5" s="4"/>
      <c r="J5" s="12"/>
      <c r="K5" s="12"/>
      <c r="L5" s="12"/>
      <c r="M5" s="12"/>
      <c r="N5" s="12"/>
      <c r="O5" s="12"/>
      <c r="P5" s="12"/>
    </row>
    <row r="6" spans="1:16" x14ac:dyDescent="0.25">
      <c r="B6" s="2"/>
      <c r="C6" s="4"/>
      <c r="D6" s="4"/>
      <c r="E6" s="4"/>
      <c r="F6" s="4"/>
      <c r="G6" s="4"/>
    </row>
    <row r="7" spans="1:16" x14ac:dyDescent="0.25">
      <c r="B7" t="s">
        <v>2</v>
      </c>
      <c r="C7" s="4">
        <f>B5*B3</f>
        <v>1500</v>
      </c>
      <c r="D7" s="4"/>
      <c r="E7" s="4"/>
      <c r="F7" s="4"/>
      <c r="G7" s="4"/>
    </row>
    <row r="8" spans="1:16" x14ac:dyDescent="0.25">
      <c r="C8" s="4"/>
      <c r="D8" s="4"/>
      <c r="E8" s="4"/>
      <c r="F8" s="4"/>
      <c r="G8" s="4"/>
    </row>
    <row r="9" spans="1:16" x14ac:dyDescent="0.25">
      <c r="B9" t="s">
        <v>6</v>
      </c>
      <c r="C9" s="3">
        <f>-FV(0,1,C7,10000)</f>
        <v>11500</v>
      </c>
      <c r="D9" s="3">
        <f>-FV(0,2,C7,10000)</f>
        <v>13000</v>
      </c>
      <c r="E9" s="3">
        <f>-FV(0,3,C7,10000)</f>
        <v>14500</v>
      </c>
      <c r="F9" s="3">
        <f>-FV(0,4,C7,10000)</f>
        <v>16000</v>
      </c>
      <c r="G9" s="4"/>
    </row>
    <row r="10" spans="1:16" x14ac:dyDescent="0.25">
      <c r="C10" s="4"/>
      <c r="D10" s="4"/>
      <c r="E10" s="4"/>
      <c r="F10" s="4"/>
      <c r="G10" s="4"/>
    </row>
    <row r="11" spans="1:16" x14ac:dyDescent="0.25">
      <c r="C11" s="4"/>
      <c r="D11" s="4"/>
      <c r="E11" s="4"/>
      <c r="F11" s="4"/>
      <c r="G11" s="4"/>
    </row>
    <row r="12" spans="1:16" x14ac:dyDescent="0.25">
      <c r="A12" s="11" t="s">
        <v>4</v>
      </c>
      <c r="B12" s="11"/>
      <c r="C12" s="11"/>
      <c r="D12" s="11"/>
      <c r="E12" s="11"/>
      <c r="F12" s="11"/>
      <c r="G12" s="11"/>
      <c r="H12" s="11"/>
    </row>
    <row r="13" spans="1:16" x14ac:dyDescent="0.25">
      <c r="A13" s="11"/>
      <c r="B13" s="11"/>
      <c r="C13" s="11"/>
      <c r="D13" s="11"/>
      <c r="E13" s="11"/>
      <c r="F13" s="11"/>
      <c r="G13" s="11"/>
      <c r="H13" s="11"/>
    </row>
    <row r="14" spans="1:16" x14ac:dyDescent="0.25">
      <c r="A14" s="1"/>
      <c r="B14" s="1"/>
      <c r="C14" s="1"/>
      <c r="D14" s="1"/>
      <c r="E14" s="1"/>
      <c r="F14" s="1"/>
      <c r="G14" s="1"/>
      <c r="H14" s="1"/>
    </row>
    <row r="15" spans="1:16" x14ac:dyDescent="0.25">
      <c r="B15" t="s">
        <v>9</v>
      </c>
      <c r="C15" s="4" t="s">
        <v>18</v>
      </c>
      <c r="D15" s="4" t="s">
        <v>10</v>
      </c>
      <c r="E15" s="4"/>
      <c r="F15" s="4" t="s">
        <v>7</v>
      </c>
      <c r="G15" s="4" t="s">
        <v>8</v>
      </c>
    </row>
    <row r="16" spans="1:16" x14ac:dyDescent="0.25">
      <c r="B16" s="2">
        <v>500000</v>
      </c>
      <c r="C16" s="4">
        <v>0.25</v>
      </c>
      <c r="D16" s="4">
        <v>16</v>
      </c>
      <c r="E16" s="4"/>
      <c r="F16" s="5">
        <f>B16*C16*(D16/360)</f>
        <v>5555.5555555555557</v>
      </c>
      <c r="G16" s="5">
        <f>B16*C16*(D16/365)</f>
        <v>5479.4520547945203</v>
      </c>
    </row>
    <row r="17" spans="2:7" x14ac:dyDescent="0.25">
      <c r="B17">
        <f>B16*C16</f>
        <v>125000</v>
      </c>
      <c r="C17" s="4"/>
      <c r="D17" s="4"/>
      <c r="G17" s="4"/>
    </row>
    <row r="18" spans="2:7" x14ac:dyDescent="0.25">
      <c r="C18" s="4"/>
      <c r="D18" s="4"/>
      <c r="E18" s="4"/>
      <c r="F18" s="4"/>
      <c r="G18" s="4"/>
    </row>
    <row r="19" spans="2:7" x14ac:dyDescent="0.25">
      <c r="C19" s="4"/>
      <c r="D19" s="4"/>
      <c r="E19" s="4" t="s">
        <v>6</v>
      </c>
      <c r="F19" s="5">
        <f>ACCRINTM(0,16,C16,B16,2)</f>
        <v>5555.5555555555557</v>
      </c>
      <c r="G19" s="4">
        <f>ACCRINTM(0,16,C16,B16,3)</f>
        <v>5479.4520547945203</v>
      </c>
    </row>
    <row r="20" spans="2:7" x14ac:dyDescent="0.25">
      <c r="C20" s="4"/>
      <c r="D20" s="4"/>
      <c r="E20" s="4"/>
      <c r="F20" s="4"/>
      <c r="G20" s="4"/>
    </row>
    <row r="21" spans="2:7" x14ac:dyDescent="0.25">
      <c r="C21" s="4"/>
      <c r="D21" s="4"/>
      <c r="E21" s="4"/>
      <c r="F21" s="4"/>
      <c r="G21" s="4"/>
    </row>
    <row r="22" spans="2:7" x14ac:dyDescent="0.25">
      <c r="C22" s="4"/>
      <c r="D22" s="4"/>
      <c r="E22" s="4"/>
      <c r="F22" s="4"/>
      <c r="G22" s="4"/>
    </row>
    <row r="23" spans="2:7" x14ac:dyDescent="0.25">
      <c r="C23" s="4"/>
      <c r="D23" s="4"/>
      <c r="E23" s="4"/>
      <c r="F23" s="4"/>
      <c r="G23" s="4"/>
    </row>
    <row r="24" spans="2:7" x14ac:dyDescent="0.25">
      <c r="C24" s="4"/>
      <c r="D24" s="4"/>
      <c r="E24" s="4"/>
      <c r="F24" s="4"/>
      <c r="G24" s="4"/>
    </row>
    <row r="25" spans="2:7" x14ac:dyDescent="0.25">
      <c r="C25" s="4"/>
      <c r="D25" s="4"/>
      <c r="E25" s="4"/>
      <c r="F25" s="4"/>
      <c r="G25" s="4"/>
    </row>
  </sheetData>
  <mergeCells count="3">
    <mergeCell ref="A1:H2"/>
    <mergeCell ref="A12:H13"/>
    <mergeCell ref="J1:P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F17" sqref="F17"/>
    </sheetView>
  </sheetViews>
  <sheetFormatPr defaultRowHeight="15" x14ac:dyDescent="0.25"/>
  <cols>
    <col min="2" max="2" width="16.28515625" bestFit="1" customWidth="1"/>
    <col min="5" max="5" width="18" bestFit="1" customWidth="1"/>
  </cols>
  <sheetData>
    <row r="1" spans="1:18" ht="15" customHeight="1" x14ac:dyDescent="0.25">
      <c r="A1" s="13" t="s">
        <v>17</v>
      </c>
      <c r="B1" s="13"/>
      <c r="C1" s="13"/>
      <c r="D1" s="13"/>
      <c r="E1" s="13"/>
      <c r="F1" s="13"/>
      <c r="G1" s="13"/>
      <c r="H1" s="13"/>
      <c r="L1" s="12" t="s">
        <v>22</v>
      </c>
      <c r="M1" s="12"/>
      <c r="N1" s="12"/>
      <c r="O1" s="12"/>
      <c r="P1" s="12"/>
      <c r="Q1" s="12"/>
      <c r="R1" s="12"/>
    </row>
    <row r="2" spans="1:18" x14ac:dyDescent="0.25">
      <c r="A2" s="13"/>
      <c r="B2" s="13"/>
      <c r="C2" s="13"/>
      <c r="D2" s="13"/>
      <c r="E2" s="13"/>
      <c r="F2" s="13"/>
      <c r="G2" s="13"/>
      <c r="H2" s="13"/>
      <c r="L2" s="12"/>
      <c r="M2" s="12"/>
      <c r="N2" s="12"/>
      <c r="O2" s="12"/>
      <c r="P2" s="12"/>
      <c r="Q2" s="12"/>
      <c r="R2" s="12"/>
    </row>
    <row r="3" spans="1:18" x14ac:dyDescent="0.25">
      <c r="A3" s="13"/>
      <c r="B3" s="13"/>
      <c r="C3" s="13"/>
      <c r="D3" s="13"/>
      <c r="E3" s="13"/>
      <c r="F3" s="13"/>
      <c r="G3" s="13"/>
      <c r="H3" s="13"/>
      <c r="L3" s="7"/>
      <c r="M3" s="7"/>
      <c r="N3" s="7"/>
      <c r="O3" s="7"/>
      <c r="P3" s="7"/>
      <c r="Q3" s="7"/>
      <c r="R3" s="7"/>
    </row>
    <row r="4" spans="1:18" x14ac:dyDescent="0.25">
      <c r="L4" s="7"/>
      <c r="M4" s="7"/>
      <c r="N4" s="7"/>
      <c r="O4" s="7"/>
      <c r="P4" s="7"/>
      <c r="Q4" s="7"/>
      <c r="R4" s="7"/>
    </row>
    <row r="5" spans="1:18" x14ac:dyDescent="0.25">
      <c r="A5" t="s">
        <v>19</v>
      </c>
      <c r="B5" t="s">
        <v>20</v>
      </c>
      <c r="C5" t="s">
        <v>21</v>
      </c>
      <c r="E5" t="s">
        <v>25</v>
      </c>
      <c r="L5" s="12" t="s">
        <v>26</v>
      </c>
      <c r="M5" s="12"/>
      <c r="N5" s="12"/>
      <c r="O5" s="12"/>
      <c r="P5" s="12"/>
      <c r="Q5" s="12"/>
      <c r="R5" s="12"/>
    </row>
    <row r="6" spans="1:18" x14ac:dyDescent="0.25">
      <c r="A6">
        <f>6/12</f>
        <v>0.5</v>
      </c>
      <c r="B6">
        <v>1800000</v>
      </c>
      <c r="C6">
        <v>0.12</v>
      </c>
      <c r="E6" s="5">
        <f>B6/(1+A6*C6)</f>
        <v>1698113.2075471696</v>
      </c>
      <c r="L6" s="12"/>
      <c r="M6" s="12"/>
      <c r="N6" s="12"/>
      <c r="O6" s="12"/>
      <c r="P6" s="12"/>
      <c r="Q6" s="12"/>
      <c r="R6" s="12"/>
    </row>
    <row r="7" spans="1:18" x14ac:dyDescent="0.25">
      <c r="E7" s="5"/>
    </row>
    <row r="10" spans="1:18" x14ac:dyDescent="0.25">
      <c r="A10" s="13" t="s">
        <v>23</v>
      </c>
      <c r="B10" s="13"/>
      <c r="C10" s="13"/>
      <c r="D10" s="13"/>
      <c r="E10" s="13"/>
      <c r="F10" s="13"/>
      <c r="G10" s="13"/>
      <c r="H10" s="13"/>
    </row>
    <row r="11" spans="1:18" x14ac:dyDescent="0.25">
      <c r="A11" s="13"/>
      <c r="B11" s="13"/>
      <c r="C11" s="13"/>
      <c r="D11" s="13"/>
      <c r="E11" s="13"/>
      <c r="F11" s="13"/>
      <c r="G11" s="13"/>
      <c r="H11" s="13"/>
    </row>
    <row r="12" spans="1:18" x14ac:dyDescent="0.25">
      <c r="A12" s="13"/>
      <c r="B12" s="13"/>
      <c r="C12" s="13"/>
      <c r="D12" s="13"/>
      <c r="E12" s="13"/>
      <c r="F12" s="13"/>
      <c r="G12" s="13"/>
      <c r="H12" s="13"/>
    </row>
    <row r="14" spans="1:18" x14ac:dyDescent="0.25">
      <c r="A14" t="s">
        <v>19</v>
      </c>
      <c r="B14" t="s">
        <v>20</v>
      </c>
      <c r="C14" t="s">
        <v>21</v>
      </c>
      <c r="E14" t="s">
        <v>24</v>
      </c>
      <c r="F14" t="s">
        <v>25</v>
      </c>
    </row>
    <row r="15" spans="1:18" x14ac:dyDescent="0.25">
      <c r="A15">
        <f>9/12</f>
        <v>0.75</v>
      </c>
      <c r="B15">
        <v>5000000</v>
      </c>
      <c r="C15">
        <v>0.22</v>
      </c>
      <c r="E15">
        <f>B15*C15*A15</f>
        <v>825000</v>
      </c>
      <c r="F15">
        <f>B15-E15</f>
        <v>4175000</v>
      </c>
    </row>
    <row r="17" spans="5:6" x14ac:dyDescent="0.25">
      <c r="E17" t="s">
        <v>6</v>
      </c>
      <c r="F17">
        <f>PRICEDISC(0,A15*360,C15,B15,2)</f>
        <v>4175000</v>
      </c>
    </row>
  </sheetData>
  <mergeCells count="4">
    <mergeCell ref="A1:H3"/>
    <mergeCell ref="L1:R2"/>
    <mergeCell ref="A10:H12"/>
    <mergeCell ref="L5:R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election activeCell="H13" sqref="H13"/>
    </sheetView>
  </sheetViews>
  <sheetFormatPr defaultRowHeight="15" x14ac:dyDescent="0.25"/>
  <cols>
    <col min="2" max="2" width="11.85546875" bestFit="1" customWidth="1"/>
  </cols>
  <sheetData>
    <row r="1" spans="1:19" ht="15" customHeight="1" x14ac:dyDescent="0.25">
      <c r="A1" s="13" t="s">
        <v>30</v>
      </c>
      <c r="B1" s="13"/>
      <c r="C1" s="13"/>
      <c r="D1" s="13"/>
      <c r="E1" s="13"/>
      <c r="F1" s="13"/>
      <c r="G1" s="13"/>
      <c r="H1" s="13"/>
      <c r="M1" s="12" t="s">
        <v>34</v>
      </c>
      <c r="N1" s="12"/>
      <c r="O1" s="12"/>
      <c r="P1" s="12"/>
      <c r="Q1" s="12"/>
      <c r="R1" s="12"/>
      <c r="S1" s="12"/>
    </row>
    <row r="2" spans="1:19" x14ac:dyDescent="0.25">
      <c r="A2" s="13"/>
      <c r="B2" s="13"/>
      <c r="C2" s="13"/>
      <c r="D2" s="13"/>
      <c r="E2" s="13"/>
      <c r="F2" s="13"/>
      <c r="G2" s="13"/>
      <c r="H2" s="13"/>
      <c r="M2" s="12"/>
      <c r="N2" s="12"/>
      <c r="O2" s="12"/>
      <c r="P2" s="12"/>
      <c r="Q2" s="12"/>
      <c r="R2" s="12"/>
      <c r="S2" s="12"/>
    </row>
    <row r="3" spans="1:19" x14ac:dyDescent="0.25">
      <c r="A3" s="13"/>
      <c r="B3" s="13"/>
      <c r="C3" s="13"/>
      <c r="D3" s="13"/>
      <c r="E3" s="13"/>
      <c r="F3" s="13"/>
      <c r="G3" s="13"/>
      <c r="H3" s="13"/>
      <c r="M3" s="12"/>
      <c r="N3" s="12"/>
      <c r="O3" s="12"/>
      <c r="P3" s="12"/>
      <c r="Q3" s="12"/>
      <c r="R3" s="12"/>
      <c r="S3" s="12"/>
    </row>
    <row r="4" spans="1:19" x14ac:dyDescent="0.25">
      <c r="M4" s="12"/>
      <c r="N4" s="12"/>
      <c r="O4" s="12"/>
      <c r="P4" s="12"/>
      <c r="Q4" s="12"/>
      <c r="R4" s="12"/>
      <c r="S4" s="12"/>
    </row>
    <row r="5" spans="1:19" x14ac:dyDescent="0.25">
      <c r="M5" s="12"/>
      <c r="N5" s="12"/>
      <c r="O5" s="12"/>
      <c r="P5" s="12"/>
      <c r="Q5" s="12"/>
      <c r="R5" s="12"/>
      <c r="S5" s="12"/>
    </row>
    <row r="6" spans="1:19" x14ac:dyDescent="0.25">
      <c r="A6" t="s">
        <v>1</v>
      </c>
      <c r="B6">
        <v>0.15</v>
      </c>
    </row>
    <row r="7" spans="1:19" x14ac:dyDescent="0.25">
      <c r="A7" t="s">
        <v>13</v>
      </c>
      <c r="B7" t="s">
        <v>9</v>
      </c>
      <c r="C7" t="s">
        <v>1</v>
      </c>
      <c r="D7" t="s">
        <v>27</v>
      </c>
      <c r="E7" t="s">
        <v>28</v>
      </c>
    </row>
    <row r="8" spans="1:19" x14ac:dyDescent="0.25">
      <c r="A8">
        <v>1</v>
      </c>
      <c r="B8">
        <v>100000</v>
      </c>
      <c r="C8">
        <f>B8*B6</f>
        <v>15000</v>
      </c>
      <c r="D8">
        <f>B8*B6-C8</f>
        <v>0</v>
      </c>
      <c r="E8">
        <f>B8+C8+D8</f>
        <v>115000</v>
      </c>
    </row>
    <row r="9" spans="1:19" x14ac:dyDescent="0.25">
      <c r="A9">
        <v>2</v>
      </c>
      <c r="B9">
        <f>E8</f>
        <v>115000</v>
      </c>
      <c r="C9">
        <f>C8</f>
        <v>15000</v>
      </c>
      <c r="D9">
        <f>B9*B6-C9</f>
        <v>2250</v>
      </c>
      <c r="E9">
        <f t="shared" ref="E9:E11" si="0">B9+C9+D9</f>
        <v>132250</v>
      </c>
    </row>
    <row r="10" spans="1:19" x14ac:dyDescent="0.25">
      <c r="A10">
        <v>3</v>
      </c>
      <c r="B10">
        <f>E9</f>
        <v>132250</v>
      </c>
      <c r="C10">
        <f>C9</f>
        <v>15000</v>
      </c>
      <c r="D10">
        <f>B10*B6-C10</f>
        <v>4837.5</v>
      </c>
      <c r="E10">
        <f t="shared" si="0"/>
        <v>152087.5</v>
      </c>
    </row>
    <row r="11" spans="1:19" x14ac:dyDescent="0.25">
      <c r="A11">
        <v>4</v>
      </c>
      <c r="B11">
        <f>E10</f>
        <v>152087.5</v>
      </c>
      <c r="C11">
        <f>C10</f>
        <v>15000</v>
      </c>
      <c r="D11">
        <f>B11*B6-C11</f>
        <v>7813.125</v>
      </c>
      <c r="E11">
        <f t="shared" si="0"/>
        <v>174900.625</v>
      </c>
    </row>
    <row r="12" spans="1:19" x14ac:dyDescent="0.25">
      <c r="A12">
        <v>5</v>
      </c>
      <c r="B12">
        <f>E11</f>
        <v>174900.625</v>
      </c>
      <c r="C12">
        <f>C11</f>
        <v>15000</v>
      </c>
      <c r="D12">
        <f>B12*B6-C12</f>
        <v>11235.09375</v>
      </c>
      <c r="E12">
        <f>B12+C12+D12</f>
        <v>201135.71875</v>
      </c>
    </row>
    <row r="13" spans="1:19" x14ac:dyDescent="0.25">
      <c r="B13" t="s">
        <v>29</v>
      </c>
      <c r="C13">
        <f>SUM(C8:C12)</f>
        <v>75000</v>
      </c>
    </row>
    <row r="14" spans="1:19" x14ac:dyDescent="0.25">
      <c r="B14" t="s">
        <v>27</v>
      </c>
      <c r="C14">
        <f>SUM(D8:D12)</f>
        <v>26135.71875</v>
      </c>
    </row>
    <row r="15" spans="1:19" x14ac:dyDescent="0.25">
      <c r="B15" t="s">
        <v>9</v>
      </c>
      <c r="C15">
        <v>100000</v>
      </c>
    </row>
    <row r="16" spans="1:19" x14ac:dyDescent="0.25">
      <c r="B16" t="s">
        <v>31</v>
      </c>
      <c r="C16">
        <f>SUM(C13:C15)</f>
        <v>201135.71875</v>
      </c>
    </row>
    <row r="18" spans="1:11" x14ac:dyDescent="0.25">
      <c r="A18" s="11" t="s">
        <v>32</v>
      </c>
      <c r="B18" s="11"/>
      <c r="C18" s="11"/>
      <c r="D18" s="11"/>
      <c r="E18" s="11"/>
      <c r="F18" s="11"/>
      <c r="H18" t="s">
        <v>33</v>
      </c>
    </row>
    <row r="19" spans="1:11" x14ac:dyDescent="0.25">
      <c r="A19">
        <v>0.15</v>
      </c>
      <c r="B19" t="s">
        <v>6</v>
      </c>
      <c r="C19">
        <f>FVSCHEDULE(B8,A19:A23)</f>
        <v>201135.71874999988</v>
      </c>
      <c r="H19">
        <f>0.15/2</f>
        <v>7.4999999999999997E-2</v>
      </c>
    </row>
    <row r="20" spans="1:11" x14ac:dyDescent="0.25">
      <c r="A20">
        <v>0.15</v>
      </c>
      <c r="H20">
        <f t="shared" ref="H20:H27" si="1">0.15/2</f>
        <v>7.4999999999999997E-2</v>
      </c>
      <c r="J20" t="s">
        <v>6</v>
      </c>
      <c r="K20">
        <f>FVSCHEDULE(B8,H19:H28)</f>
        <v>206103.15621647114</v>
      </c>
    </row>
    <row r="21" spans="1:11" x14ac:dyDescent="0.25">
      <c r="A21">
        <v>0.15</v>
      </c>
      <c r="H21">
        <f t="shared" si="1"/>
        <v>7.4999999999999997E-2</v>
      </c>
    </row>
    <row r="22" spans="1:11" x14ac:dyDescent="0.25">
      <c r="A22">
        <v>0.15</v>
      </c>
      <c r="H22">
        <f t="shared" si="1"/>
        <v>7.4999999999999997E-2</v>
      </c>
    </row>
    <row r="23" spans="1:11" x14ac:dyDescent="0.25">
      <c r="A23">
        <v>0.15</v>
      </c>
      <c r="H23">
        <f t="shared" si="1"/>
        <v>7.4999999999999997E-2</v>
      </c>
    </row>
    <row r="24" spans="1:11" x14ac:dyDescent="0.25">
      <c r="H24">
        <f t="shared" si="1"/>
        <v>7.4999999999999997E-2</v>
      </c>
    </row>
    <row r="25" spans="1:11" x14ac:dyDescent="0.25">
      <c r="H25">
        <f t="shared" si="1"/>
        <v>7.4999999999999997E-2</v>
      </c>
    </row>
    <row r="26" spans="1:11" x14ac:dyDescent="0.25">
      <c r="H26">
        <f t="shared" si="1"/>
        <v>7.4999999999999997E-2</v>
      </c>
    </row>
    <row r="27" spans="1:11" x14ac:dyDescent="0.25">
      <c r="H27">
        <f t="shared" si="1"/>
        <v>7.4999999999999997E-2</v>
      </c>
    </row>
    <row r="28" spans="1:11" x14ac:dyDescent="0.25">
      <c r="H28">
        <f>0.15/2</f>
        <v>7.4999999999999997E-2</v>
      </c>
    </row>
  </sheetData>
  <mergeCells count="3">
    <mergeCell ref="M1:S5"/>
    <mergeCell ref="A1:H3"/>
    <mergeCell ref="A18:F18"/>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sqref="A1:H3"/>
    </sheetView>
  </sheetViews>
  <sheetFormatPr defaultRowHeight="15" x14ac:dyDescent="0.25"/>
  <sheetData>
    <row r="1" spans="1:19" ht="15" customHeight="1" x14ac:dyDescent="0.25">
      <c r="A1" s="13" t="s">
        <v>37</v>
      </c>
      <c r="B1" s="13"/>
      <c r="C1" s="13"/>
      <c r="D1" s="13"/>
      <c r="E1" s="13"/>
      <c r="F1" s="13"/>
      <c r="G1" s="13"/>
      <c r="H1" s="13"/>
      <c r="K1" s="12" t="s">
        <v>35</v>
      </c>
      <c r="L1" s="12"/>
      <c r="M1" s="12"/>
      <c r="N1" s="12"/>
      <c r="O1" s="12"/>
      <c r="P1" s="12"/>
      <c r="Q1" s="12"/>
    </row>
    <row r="2" spans="1:19" x14ac:dyDescent="0.25">
      <c r="A2" s="13"/>
      <c r="B2" s="13"/>
      <c r="C2" s="13"/>
      <c r="D2" s="13"/>
      <c r="E2" s="13"/>
      <c r="F2" s="13"/>
      <c r="G2" s="13"/>
      <c r="H2" s="13"/>
      <c r="K2" s="12"/>
      <c r="L2" s="12"/>
      <c r="M2" s="12"/>
      <c r="N2" s="12"/>
      <c r="O2" s="12"/>
      <c r="P2" s="12"/>
      <c r="Q2" s="12"/>
    </row>
    <row r="3" spans="1:19" x14ac:dyDescent="0.25">
      <c r="A3" s="13"/>
      <c r="B3" s="13"/>
      <c r="C3" s="13"/>
      <c r="D3" s="13"/>
      <c r="E3" s="13"/>
      <c r="F3" s="13"/>
      <c r="G3" s="13"/>
      <c r="H3" s="13"/>
      <c r="K3" s="12"/>
      <c r="L3" s="12"/>
      <c r="M3" s="12"/>
      <c r="N3" s="12"/>
      <c r="O3" s="12"/>
      <c r="P3" s="12"/>
      <c r="Q3" s="12"/>
    </row>
    <row r="4" spans="1:19" x14ac:dyDescent="0.25">
      <c r="K4" s="12"/>
      <c r="L4" s="12"/>
      <c r="M4" s="12"/>
      <c r="N4" s="12"/>
      <c r="O4" s="12"/>
      <c r="P4" s="12"/>
      <c r="Q4" s="12"/>
    </row>
    <row r="5" spans="1:19" ht="15" customHeight="1" x14ac:dyDescent="0.25">
      <c r="A5" s="12" t="s">
        <v>42</v>
      </c>
      <c r="B5" s="12"/>
      <c r="C5" s="12"/>
      <c r="D5" s="12"/>
      <c r="E5" s="12"/>
      <c r="F5" s="12"/>
      <c r="G5" s="12"/>
      <c r="H5" s="12"/>
      <c r="K5" s="12"/>
      <c r="L5" s="12"/>
      <c r="M5" s="12"/>
      <c r="N5" s="12"/>
      <c r="O5" s="12"/>
      <c r="P5" s="12"/>
      <c r="Q5" s="12"/>
    </row>
    <row r="6" spans="1:19" x14ac:dyDescent="0.25">
      <c r="A6" s="12"/>
      <c r="B6" s="12"/>
      <c r="C6" s="12"/>
      <c r="D6" s="12"/>
      <c r="E6" s="12"/>
      <c r="F6" s="12"/>
      <c r="G6" s="12"/>
      <c r="H6" s="12"/>
      <c r="K6" s="12"/>
      <c r="L6" s="12"/>
      <c r="M6" s="12"/>
      <c r="N6" s="12"/>
      <c r="O6" s="12"/>
      <c r="P6" s="12"/>
      <c r="Q6" s="12"/>
    </row>
    <row r="7" spans="1:19" x14ac:dyDescent="0.25">
      <c r="A7" s="12"/>
      <c r="B7" s="12"/>
      <c r="C7" s="12"/>
      <c r="D7" s="12"/>
      <c r="E7" s="12"/>
      <c r="F7" s="12"/>
      <c r="G7" s="12"/>
      <c r="H7" s="12"/>
      <c r="K7" s="12"/>
      <c r="L7" s="12"/>
      <c r="M7" s="12"/>
      <c r="N7" s="12"/>
      <c r="O7" s="12"/>
      <c r="P7" s="12"/>
      <c r="Q7" s="12"/>
    </row>
    <row r="8" spans="1:19" x14ac:dyDescent="0.25">
      <c r="A8" s="12"/>
      <c r="B8" s="12"/>
      <c r="C8" s="12"/>
      <c r="D8" s="12"/>
      <c r="E8" s="12"/>
      <c r="F8" s="12"/>
      <c r="G8" s="12"/>
      <c r="H8" s="12"/>
    </row>
    <row r="9" spans="1:19" x14ac:dyDescent="0.25">
      <c r="A9" s="12"/>
      <c r="B9" s="12"/>
      <c r="C9" s="12"/>
      <c r="D9" s="12"/>
      <c r="E9" s="12"/>
      <c r="F9" s="12"/>
      <c r="G9" s="12"/>
      <c r="H9" s="12"/>
    </row>
    <row r="10" spans="1:19" x14ac:dyDescent="0.25">
      <c r="A10" s="12"/>
      <c r="B10" s="12"/>
      <c r="C10" s="12"/>
      <c r="D10" s="12"/>
      <c r="E10" s="12"/>
      <c r="F10" s="12"/>
      <c r="G10" s="12"/>
      <c r="H10" s="12"/>
    </row>
    <row r="11" spans="1:19" ht="15" customHeight="1" x14ac:dyDescent="0.25">
      <c r="K11" s="12" t="s">
        <v>36</v>
      </c>
      <c r="L11" s="12"/>
      <c r="M11" s="12"/>
      <c r="N11" s="12"/>
      <c r="O11" s="12"/>
      <c r="P11" s="12"/>
      <c r="Q11" s="12"/>
      <c r="R11" s="12"/>
      <c r="S11" s="12"/>
    </row>
    <row r="12" spans="1:19" x14ac:dyDescent="0.25">
      <c r="A12" t="s">
        <v>38</v>
      </c>
      <c r="B12" t="s">
        <v>39</v>
      </c>
      <c r="C12" t="s">
        <v>40</v>
      </c>
      <c r="D12" t="s">
        <v>41</v>
      </c>
      <c r="E12" t="s">
        <v>43</v>
      </c>
      <c r="K12" s="12"/>
      <c r="L12" s="12"/>
      <c r="M12" s="12"/>
      <c r="N12" s="12"/>
      <c r="O12" s="12"/>
      <c r="P12" s="12"/>
      <c r="Q12" s="12"/>
      <c r="R12" s="12"/>
      <c r="S12" s="12"/>
    </row>
    <row r="13" spans="1:19" x14ac:dyDescent="0.25">
      <c r="A13">
        <v>0.1</v>
      </c>
      <c r="B13">
        <v>20000</v>
      </c>
      <c r="C13">
        <v>2</v>
      </c>
      <c r="D13">
        <v>3</v>
      </c>
      <c r="E13">
        <f>B13*((1+A13/C13)^(C13*D13)-1)</f>
        <v>6801.9128124999997</v>
      </c>
      <c r="K13" s="12"/>
      <c r="L13" s="12"/>
      <c r="M13" s="12"/>
      <c r="N13" s="12"/>
      <c r="O13" s="12"/>
      <c r="P13" s="12"/>
      <c r="Q13" s="12"/>
      <c r="R13" s="12"/>
      <c r="S13" s="12"/>
    </row>
    <row r="14" spans="1:19" x14ac:dyDescent="0.25">
      <c r="K14" s="12"/>
      <c r="L14" s="12"/>
      <c r="M14" s="12"/>
      <c r="N14" s="12"/>
      <c r="O14" s="12"/>
      <c r="P14" s="12"/>
      <c r="Q14" s="12"/>
      <c r="R14" s="12"/>
      <c r="S14" s="12"/>
    </row>
    <row r="15" spans="1:19" x14ac:dyDescent="0.25">
      <c r="K15" s="12"/>
      <c r="L15" s="12"/>
      <c r="M15" s="12"/>
      <c r="N15" s="12"/>
      <c r="O15" s="12"/>
      <c r="P15" s="12"/>
      <c r="Q15" s="12"/>
      <c r="R15" s="12"/>
      <c r="S15" s="12"/>
    </row>
  </sheetData>
  <mergeCells count="4">
    <mergeCell ref="K11:S15"/>
    <mergeCell ref="K1:Q7"/>
    <mergeCell ref="A1:H3"/>
    <mergeCell ref="A5:H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
  <sheetViews>
    <sheetView workbookViewId="0">
      <selection activeCell="H6" sqref="H6"/>
    </sheetView>
  </sheetViews>
  <sheetFormatPr defaultRowHeight="15" x14ac:dyDescent="0.25"/>
  <cols>
    <col min="2" max="2" width="13.5703125" bestFit="1" customWidth="1"/>
    <col min="3" max="3" width="11.42578125" bestFit="1" customWidth="1"/>
  </cols>
  <sheetData>
    <row r="1" spans="2:11" x14ac:dyDescent="0.25">
      <c r="F1" t="s">
        <v>51</v>
      </c>
      <c r="G1">
        <v>0.11</v>
      </c>
    </row>
    <row r="2" spans="2:11" x14ac:dyDescent="0.25">
      <c r="B2" t="s">
        <v>44</v>
      </c>
      <c r="C2">
        <v>0.2</v>
      </c>
      <c r="F2" t="s">
        <v>48</v>
      </c>
      <c r="G2">
        <v>0</v>
      </c>
      <c r="H2">
        <v>1</v>
      </c>
      <c r="I2">
        <v>2</v>
      </c>
      <c r="J2">
        <v>3</v>
      </c>
      <c r="K2">
        <v>4</v>
      </c>
    </row>
    <row r="3" spans="2:11" x14ac:dyDescent="0.25">
      <c r="B3" t="s">
        <v>45</v>
      </c>
      <c r="C3">
        <v>10</v>
      </c>
      <c r="F3" t="s">
        <v>49</v>
      </c>
      <c r="G3">
        <v>-120</v>
      </c>
      <c r="H3">
        <v>25</v>
      </c>
      <c r="I3">
        <v>40</v>
      </c>
      <c r="J3">
        <v>60</v>
      </c>
      <c r="K3">
        <v>80</v>
      </c>
    </row>
    <row r="4" spans="2:11" x14ac:dyDescent="0.25">
      <c r="B4" t="s">
        <v>46</v>
      </c>
      <c r="C4">
        <v>1000</v>
      </c>
    </row>
    <row r="5" spans="2:11" x14ac:dyDescent="0.25">
      <c r="F5" t="s">
        <v>50</v>
      </c>
      <c r="H5" s="3">
        <f>G3+NPV(G1,H3:K3)</f>
        <v>31.557380661941721</v>
      </c>
    </row>
    <row r="6" spans="2:11" x14ac:dyDescent="0.25">
      <c r="B6" t="s">
        <v>39</v>
      </c>
      <c r="C6" s="3">
        <f>-PV(C2,C3,C4)</f>
        <v>4192.4720855507712</v>
      </c>
      <c r="F6" t="s">
        <v>47</v>
      </c>
      <c r="H6" s="9">
        <f>IRR(G3:K3,0)</f>
        <v>0.20693997784910967</v>
      </c>
    </row>
    <row r="7" spans="2:11" x14ac:dyDescent="0.25">
      <c r="B7" t="s">
        <v>53</v>
      </c>
      <c r="C7" s="3">
        <f>-FV(C2,C3,C4)</f>
        <v>25958.682111999995</v>
      </c>
    </row>
    <row r="8" spans="2:11" x14ac:dyDescent="0.25">
      <c r="F8" t="s">
        <v>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M10" sqref="M10"/>
    </sheetView>
  </sheetViews>
  <sheetFormatPr defaultRowHeight="15" x14ac:dyDescent="0.25"/>
  <cols>
    <col min="4" max="4" width="12.42578125" bestFit="1" customWidth="1"/>
    <col min="10" max="10" width="19.85546875" bestFit="1" customWidth="1"/>
    <col min="11" max="11" width="11.7109375" bestFit="1" customWidth="1"/>
    <col min="13" max="13" width="16.85546875" bestFit="1" customWidth="1"/>
  </cols>
  <sheetData>
    <row r="1" spans="1:13" x14ac:dyDescent="0.25">
      <c r="A1" s="13" t="s">
        <v>54</v>
      </c>
      <c r="B1" s="13"/>
      <c r="C1" s="13"/>
      <c r="D1" s="13"/>
      <c r="E1" s="13"/>
      <c r="F1" s="13"/>
      <c r="G1" s="13"/>
      <c r="H1" s="13"/>
    </row>
    <row r="2" spans="1:13" x14ac:dyDescent="0.25">
      <c r="A2" s="13"/>
      <c r="B2" s="13"/>
      <c r="C2" s="13"/>
      <c r="D2" s="13"/>
      <c r="E2" s="13"/>
      <c r="F2" s="13"/>
      <c r="G2" s="13"/>
      <c r="H2" s="13"/>
    </row>
    <row r="3" spans="1:13" x14ac:dyDescent="0.25">
      <c r="A3" s="13"/>
      <c r="B3" s="13"/>
      <c r="C3" s="13"/>
      <c r="D3" s="13"/>
      <c r="E3" s="13"/>
      <c r="F3" s="13"/>
      <c r="G3" s="13"/>
      <c r="H3" s="13"/>
    </row>
    <row r="5" spans="1:13" x14ac:dyDescent="0.25">
      <c r="A5" t="s">
        <v>55</v>
      </c>
      <c r="B5" t="s">
        <v>56</v>
      </c>
      <c r="C5" t="s">
        <v>57</v>
      </c>
      <c r="D5" t="s">
        <v>58</v>
      </c>
      <c r="J5" t="s">
        <v>59</v>
      </c>
      <c r="K5" t="s">
        <v>58</v>
      </c>
      <c r="L5" t="s">
        <v>1</v>
      </c>
      <c r="M5" t="s">
        <v>60</v>
      </c>
    </row>
    <row r="6" spans="1:13" x14ac:dyDescent="0.25">
      <c r="A6">
        <v>1000000</v>
      </c>
      <c r="B6">
        <v>0.08</v>
      </c>
      <c r="C6">
        <v>4</v>
      </c>
      <c r="D6" s="3">
        <f>-PMT(B6,C6,A6)</f>
        <v>301920.80445403932</v>
      </c>
      <c r="I6" t="s">
        <v>13</v>
      </c>
      <c r="J6">
        <v>1000000</v>
      </c>
      <c r="K6" s="8">
        <f>$D$6</f>
        <v>301920.80445403932</v>
      </c>
      <c r="L6" s="8">
        <f>J6*$B$6</f>
        <v>80000</v>
      </c>
      <c r="M6" s="3">
        <f>K6-L6</f>
        <v>221920.80445403932</v>
      </c>
    </row>
    <row r="7" spans="1:13" x14ac:dyDescent="0.25">
      <c r="J7" s="8">
        <f>J6-M6</f>
        <v>778079.19554596068</v>
      </c>
      <c r="K7" s="8">
        <f t="shared" ref="K7:K9" si="0">$D$6</f>
        <v>301920.80445403932</v>
      </c>
      <c r="L7" s="8">
        <f t="shared" ref="L7:L9" si="1">J7*$B$6</f>
        <v>62246.335643676859</v>
      </c>
      <c r="M7" s="3">
        <f t="shared" ref="M7:M9" si="2">K7-L7</f>
        <v>239674.46881036245</v>
      </c>
    </row>
    <row r="8" spans="1:13" x14ac:dyDescent="0.25">
      <c r="J8" s="8">
        <f t="shared" ref="J8:J9" si="3">J7-M7</f>
        <v>538404.72673559817</v>
      </c>
      <c r="K8" s="8">
        <f t="shared" si="0"/>
        <v>301920.80445403932</v>
      </c>
      <c r="L8" s="8">
        <f t="shared" si="1"/>
        <v>43072.378138847853</v>
      </c>
      <c r="M8" s="3">
        <f t="shared" si="2"/>
        <v>258848.42631519146</v>
      </c>
    </row>
    <row r="9" spans="1:13" x14ac:dyDescent="0.25">
      <c r="J9" s="8">
        <f t="shared" si="3"/>
        <v>279556.30042040674</v>
      </c>
      <c r="K9" s="8">
        <f t="shared" si="0"/>
        <v>301920.80445403932</v>
      </c>
      <c r="L9" s="8">
        <f t="shared" si="1"/>
        <v>22364.50403363254</v>
      </c>
      <c r="M9" s="3">
        <f t="shared" si="2"/>
        <v>279556.3004204068</v>
      </c>
    </row>
  </sheetData>
  <mergeCells count="1">
    <mergeCell ref="A1: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Giriş</vt:lpstr>
      <vt:lpstr>BASİT FAİZ</vt:lpstr>
      <vt:lpstr>BASİT İSKONTO</vt:lpstr>
      <vt:lpstr>BİLEŞİK FAİZ</vt:lpstr>
      <vt:lpstr>BİLEŞİK İSKONTO</vt:lpstr>
      <vt:lpstr>BD GD NBD İVO</vt:lpstr>
      <vt:lpstr>ANÜİTE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2016-12-23T07:48:39Z</dcterms:modified>
</cp:coreProperties>
</file>